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<sst xmlns="http://schemas.openxmlformats.org/spreadsheetml/2006/main" count="48" uniqueCount="46">
  <si>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ВЫЧИСЛЕНИЕ АСТРОНОМИЧЕСКОГО АЗИМУТА ПО ЧАСОВОМУ УГЛУ ПОЛЯРНОЙ</t>
  </si>
  <si>
    <t>Дата:</t>
  </si>
  <si>
    <t>Широта:</t>
  </si>
  <si>
    <t>Долгота:</t>
  </si>
  <si>
    <t>ОБОЗНАЧЕНИЯ</t>
  </si>
  <si>
    <t>ПЕРВЫЙ ПРИЁМ</t>
  </si>
  <si>
    <t>ВТОРОЙ ПРИЕМ</t>
  </si>
  <si>
    <t>вычисление местного звездного времени</t>
  </si>
  <si>
    <t>(в часовой мере)</t>
  </si>
  <si>
    <t>(в градусной мере)</t>
  </si>
  <si>
    <t xml:space="preserve"> ввести!</t>
  </si>
  <si>
    <t>раб.знач.</t>
  </si>
  <si>
    <t>вычисление часового угла полярной</t>
  </si>
  <si>
    <r>
      <t>M</t>
    </r>
    <r>
      <rPr>
        <sz val="8"/>
        <rFont val="Arial Cyr"/>
        <family val="2"/>
      </rPr>
      <t>(hms)</t>
    </r>
  </si>
  <si>
    <r>
      <t>M</t>
    </r>
    <r>
      <rPr>
        <sz val="8"/>
        <rFont val="Arial Cyr"/>
        <family val="2"/>
      </rPr>
      <t>(h)</t>
    </r>
  </si>
  <si>
    <r>
      <t>S</t>
    </r>
    <r>
      <rPr>
        <sz val="8"/>
        <rFont val="Arial Cyr"/>
        <family val="2"/>
      </rPr>
      <t>o(hms)</t>
    </r>
  </si>
  <si>
    <r>
      <t>L</t>
    </r>
    <r>
      <rPr>
        <sz val="8"/>
        <rFont val="Arial Cyr"/>
        <family val="2"/>
      </rPr>
      <t>(hms)</t>
    </r>
  </si>
  <si>
    <r>
      <t>S</t>
    </r>
    <r>
      <rPr>
        <sz val="8"/>
        <rFont val="Arial Cyr"/>
        <family val="2"/>
      </rPr>
      <t>(hms)</t>
    </r>
  </si>
  <si>
    <r>
      <t>альфа</t>
    </r>
    <r>
      <rPr>
        <sz val="8"/>
        <rFont val="Arial Cyr"/>
        <family val="2"/>
      </rPr>
      <t>(hms)</t>
    </r>
  </si>
  <si>
    <r>
      <t>t</t>
    </r>
    <r>
      <rPr>
        <sz val="8"/>
        <rFont val="Arial Cyr"/>
        <family val="2"/>
      </rPr>
      <t>(hms)</t>
    </r>
  </si>
  <si>
    <t>вычисление азимута полярной</t>
  </si>
  <si>
    <r>
      <t>дельта(</t>
    </r>
    <r>
      <rPr>
        <sz val="8"/>
        <rFont val="Arial Cyr"/>
        <family val="2"/>
      </rPr>
      <t>сек.)</t>
    </r>
  </si>
  <si>
    <r>
      <t>а(</t>
    </r>
    <r>
      <rPr>
        <sz val="8"/>
        <rFont val="Arial Cyr"/>
        <family val="2"/>
      </rPr>
      <t>сек.)</t>
    </r>
  </si>
  <si>
    <r>
      <t>а(</t>
    </r>
    <r>
      <rPr>
        <sz val="8"/>
        <rFont val="Arial Cyr"/>
        <family val="2"/>
      </rPr>
      <t>гр.мин.сек.)</t>
    </r>
  </si>
  <si>
    <r>
      <t>t(</t>
    </r>
    <r>
      <rPr>
        <sz val="8"/>
        <rFont val="Arial Cyr"/>
        <family val="2"/>
      </rPr>
      <t>гр.мин.сек</t>
    </r>
    <r>
      <rPr>
        <sz val="10"/>
        <rFont val="Arial Cyr"/>
        <family val="0"/>
      </rPr>
      <t>.</t>
    </r>
    <r>
      <rPr>
        <sz val="8"/>
        <rFont val="Arial Cyr"/>
        <family val="2"/>
      </rPr>
      <t>)</t>
    </r>
  </si>
  <si>
    <r>
      <t>б(</t>
    </r>
    <r>
      <rPr>
        <sz val="8"/>
        <rFont val="Arial Cyr"/>
        <family val="2"/>
      </rPr>
      <t>гр.мин.сек.)</t>
    </r>
  </si>
  <si>
    <r>
      <t>B(</t>
    </r>
    <r>
      <rPr>
        <sz val="8"/>
        <rFont val="Arial Cyr"/>
        <family val="2"/>
      </rPr>
      <t>гр.мин.сек.)</t>
    </r>
  </si>
  <si>
    <t>вычисление азимута и дирекционного угла направления</t>
  </si>
  <si>
    <r>
      <t>Q(</t>
    </r>
    <r>
      <rPr>
        <sz val="8"/>
        <rFont val="Arial Cyr"/>
        <family val="2"/>
      </rPr>
      <t>гр.мин.сек.)</t>
    </r>
  </si>
  <si>
    <t>расхождение:</t>
  </si>
  <si>
    <r>
      <t>А</t>
    </r>
    <r>
      <rPr>
        <sz val="8"/>
        <rFont val="Arial Cyr"/>
        <family val="2"/>
      </rPr>
      <t>(гр.мин.сек.)</t>
    </r>
  </si>
  <si>
    <r>
      <t>А</t>
    </r>
    <r>
      <rPr>
        <sz val="8"/>
        <rFont val="Arial Cyr"/>
        <family val="2"/>
      </rPr>
      <t>ср.(гр.мин.сек.)</t>
    </r>
  </si>
  <si>
    <r>
      <t>L</t>
    </r>
    <r>
      <rPr>
        <sz val="8"/>
        <rFont val="Arial Cyr"/>
        <family val="2"/>
      </rPr>
      <t>o(гр.)</t>
    </r>
  </si>
  <si>
    <r>
      <t>Альфа(</t>
    </r>
    <r>
      <rPr>
        <sz val="8"/>
        <rFont val="Arial Cyr"/>
        <family val="2"/>
      </rPr>
      <t>гр.мин.сек)</t>
    </r>
  </si>
  <si>
    <t>результат</t>
  </si>
  <si>
    <t>(мин.)</t>
  </si>
  <si>
    <t>допуск:</t>
  </si>
  <si>
    <t>Вычислял:</t>
  </si>
  <si>
    <t>(число.мес.год)</t>
  </si>
  <si>
    <t>дата перехода на зим.время:</t>
  </si>
  <si>
    <t>дата перехода на лет.время:</t>
  </si>
  <si>
    <t>(чис.мес.)</t>
  </si>
  <si>
    <r>
      <t>n+d</t>
    </r>
    <r>
      <rPr>
        <sz val="8"/>
        <rFont val="Arial Cyr"/>
        <family val="2"/>
      </rPr>
      <t>(h)</t>
    </r>
  </si>
  <si>
    <r>
      <t>D</t>
    </r>
    <r>
      <rPr>
        <sz val="8"/>
        <rFont val="Arial Cyr"/>
        <family val="2"/>
      </rPr>
      <t>(hms)</t>
    </r>
  </si>
  <si>
    <r>
      <t>(9,86</t>
    </r>
    <r>
      <rPr>
        <sz val="8"/>
        <rFont val="Arial Cyr"/>
        <family val="2"/>
      </rPr>
      <t>(s)</t>
    </r>
    <r>
      <rPr>
        <sz val="10"/>
        <rFont val="Arial Cyr"/>
        <family val="0"/>
      </rPr>
      <t>*M</t>
    </r>
    <r>
      <rPr>
        <sz val="8"/>
        <rFont val="Arial Cyr"/>
        <family val="2"/>
      </rPr>
      <t>(h)</t>
    </r>
    <r>
      <rPr>
        <sz val="10"/>
        <rFont val="Arial Cyr"/>
        <family val="2"/>
      </rPr>
      <t>)</t>
    </r>
    <r>
      <rPr>
        <sz val="8"/>
        <rFont val="Arial Cyr"/>
        <family val="2"/>
      </rPr>
      <t>(s)</t>
    </r>
  </si>
  <si>
    <t>Оценка: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</si>
</sst>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color indexed="10"/>
      <name val="Arial Cyr"/>
      <family val="2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166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1" fontId="0" fillId="5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2" borderId="3" xfId="0" applyFill="1" applyBorder="1" applyAlignment="1">
      <alignment/>
    </xf>
    <xf numFmtId="0" fontId="4" fillId="5" borderId="2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6" xfId="0" applyFill="1" applyBorder="1" applyAlignment="1">
      <alignment/>
    </xf>
    <xf numFmtId="0" fontId="1" fillId="5" borderId="0" xfId="0" applyFont="1" applyFill="1" applyAlignment="1">
      <alignment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/>
    </xf>
    <xf numFmtId="0" fontId="1" fillId="5" borderId="2" xfId="0" applyFont="1" applyFill="1" applyBorder="1" applyAlignment="1">
      <alignment/>
    </xf>
    <xf numFmtId="0" fontId="3" fillId="5" borderId="0" xfId="0" applyFont="1" applyFill="1" applyAlignment="1">
      <alignment/>
    </xf>
    <xf numFmtId="0" fontId="4" fillId="5" borderId="2" xfId="0" applyFont="1" applyFill="1" applyBorder="1" applyAlignment="1">
      <alignment/>
    </xf>
    <xf numFmtId="0" fontId="0" fillId="5" borderId="0" xfId="0" applyFill="1" applyAlignment="1">
      <alignment horizontal="right"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0" fillId="5" borderId="8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5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4.875" style="0" customWidth="1"/>
    <col min="5" max="5" width="5.625" style="0" customWidth="1"/>
    <col min="9" max="9" width="5.625" style="0" customWidth="1"/>
    <col min="11" max="11" width="6.625" style="0" customWidth="1"/>
    <col min="12" max="12" width="10.625" style="0" customWidth="1"/>
  </cols>
  <sheetData>
    <row r="1" spans="1:16" ht="12.75">
      <c r="A1" s="48" t="s">
        <v>0</v>
      </c>
      <c r="B1" s="49"/>
      <c r="C1" s="49"/>
      <c r="D1" s="49"/>
      <c r="E1" s="48"/>
      <c r="F1" s="48"/>
      <c r="G1" s="48"/>
      <c r="H1" s="48"/>
      <c r="I1" s="48"/>
      <c r="J1" s="23"/>
      <c r="K1" s="23"/>
      <c r="L1" s="23"/>
      <c r="M1" s="23"/>
      <c r="N1" s="23"/>
      <c r="O1" s="23"/>
      <c r="P1" s="23"/>
    </row>
    <row r="2" spans="1:16" ht="12.75">
      <c r="A2" s="36" t="s">
        <v>1</v>
      </c>
      <c r="B2" s="18">
        <v>4</v>
      </c>
      <c r="C2" s="18">
        <v>8</v>
      </c>
      <c r="D2" s="18">
        <v>86</v>
      </c>
      <c r="E2" s="51" t="s">
        <v>38</v>
      </c>
      <c r="F2" s="51"/>
      <c r="G2" s="21"/>
      <c r="H2" s="21"/>
      <c r="I2" s="22"/>
      <c r="J2" s="23"/>
      <c r="K2" s="23"/>
      <c r="L2" s="23"/>
      <c r="M2" s="23"/>
      <c r="N2" s="23"/>
      <c r="O2" s="23"/>
      <c r="P2" s="23"/>
    </row>
    <row r="3" spans="1:16" ht="12.75">
      <c r="A3" s="36" t="s">
        <v>2</v>
      </c>
      <c r="B3" s="18">
        <v>54</v>
      </c>
      <c r="C3" s="18">
        <v>42</v>
      </c>
      <c r="D3" s="18">
        <v>42</v>
      </c>
      <c r="E3" s="24" t="s">
        <v>9</v>
      </c>
      <c r="F3" s="25"/>
      <c r="G3" s="26"/>
      <c r="H3" s="26"/>
      <c r="I3" s="27"/>
      <c r="J3" s="23"/>
      <c r="K3" s="1"/>
      <c r="L3" s="28" t="s">
        <v>10</v>
      </c>
      <c r="M3" s="23"/>
      <c r="N3" s="23"/>
      <c r="O3" s="23"/>
      <c r="P3" s="23"/>
    </row>
    <row r="4" spans="1:16" ht="12" customHeight="1">
      <c r="A4" s="36" t="s">
        <v>3</v>
      </c>
      <c r="B4" s="18">
        <v>2</v>
      </c>
      <c r="C4" s="18">
        <v>29</v>
      </c>
      <c r="D4" s="18">
        <v>0</v>
      </c>
      <c r="E4" s="29" t="s">
        <v>8</v>
      </c>
      <c r="F4" s="30"/>
      <c r="G4" s="31"/>
      <c r="H4" s="31"/>
      <c r="I4" s="32"/>
      <c r="J4" s="23"/>
      <c r="K4" s="23"/>
      <c r="L4" s="23"/>
      <c r="M4" s="23"/>
      <c r="N4" s="23"/>
      <c r="O4" s="23"/>
      <c r="P4" s="23"/>
    </row>
    <row r="5" spans="1:16" ht="12.75" customHeight="1">
      <c r="A5" s="4" t="s">
        <v>4</v>
      </c>
      <c r="B5" s="50" t="s">
        <v>5</v>
      </c>
      <c r="C5" s="50"/>
      <c r="D5" s="50"/>
      <c r="E5" s="48"/>
      <c r="F5" s="48" t="s">
        <v>6</v>
      </c>
      <c r="G5" s="48"/>
      <c r="H5" s="48"/>
      <c r="I5" s="48"/>
      <c r="K5" s="3"/>
      <c r="L5" s="28" t="s">
        <v>11</v>
      </c>
      <c r="M5" s="23"/>
      <c r="N5" s="23"/>
      <c r="O5" s="23"/>
      <c r="P5" s="23"/>
    </row>
    <row r="6" spans="1:16" ht="12.75">
      <c r="A6" s="45" t="s">
        <v>7</v>
      </c>
      <c r="B6" s="45"/>
      <c r="C6" s="45"/>
      <c r="D6" s="45"/>
      <c r="E6" s="45"/>
      <c r="F6" s="45"/>
      <c r="G6" s="45"/>
      <c r="H6" s="45"/>
      <c r="I6" s="45"/>
      <c r="J6" s="23"/>
      <c r="K6" s="23"/>
      <c r="L6" s="23"/>
      <c r="M6" s="23"/>
      <c r="N6" s="23"/>
      <c r="O6" s="23"/>
      <c r="P6" s="23"/>
    </row>
    <row r="7" spans="1:16" ht="12.75">
      <c r="A7" s="1" t="s">
        <v>43</v>
      </c>
      <c r="B7" s="1">
        <v>22</v>
      </c>
      <c r="C7" s="1">
        <v>44</v>
      </c>
      <c r="D7" s="1">
        <v>18</v>
      </c>
      <c r="E7" s="3"/>
      <c r="F7" s="1">
        <v>23</v>
      </c>
      <c r="G7" s="1">
        <v>6</v>
      </c>
      <c r="H7" s="1">
        <v>36</v>
      </c>
      <c r="I7" s="3"/>
      <c r="K7" s="10"/>
      <c r="L7" s="5" t="s">
        <v>34</v>
      </c>
      <c r="M7" s="23"/>
      <c r="N7" s="23"/>
      <c r="O7" s="23"/>
      <c r="P7" s="23"/>
    </row>
    <row r="8" spans="1:16" ht="12.75">
      <c r="A8" s="14" t="s">
        <v>42</v>
      </c>
      <c r="B8" s="14">
        <f>IF(O14&gt;=((B2/O18)+C2/12)&gt;=O16,4,3)</f>
        <v>4</v>
      </c>
      <c r="C8" s="2"/>
      <c r="D8" s="2"/>
      <c r="E8" s="3"/>
      <c r="F8" s="2">
        <f>B8</f>
        <v>4</v>
      </c>
      <c r="G8" s="2"/>
      <c r="H8" s="2"/>
      <c r="I8" s="3"/>
      <c r="J8" s="23"/>
      <c r="K8" s="23"/>
      <c r="L8" s="23"/>
      <c r="M8" s="23"/>
      <c r="N8" s="23"/>
      <c r="O8" s="23"/>
      <c r="P8" s="23"/>
    </row>
    <row r="9" spans="1:16" ht="12.75">
      <c r="A9" s="2" t="s">
        <v>13</v>
      </c>
      <c r="B9" s="2">
        <f>IF(B7-B8&lt;0,(B7-B8)+24,(B7-B8))</f>
        <v>18</v>
      </c>
      <c r="C9" s="2">
        <f>C7</f>
        <v>44</v>
      </c>
      <c r="D9" s="2">
        <f>D7</f>
        <v>18</v>
      </c>
      <c r="E9" s="3"/>
      <c r="F9" s="2">
        <f>IF((F7-F8)&lt;0,(F7-F8)+24,F7-F8)</f>
        <v>19</v>
      </c>
      <c r="G9" s="2">
        <f>G7</f>
        <v>6</v>
      </c>
      <c r="H9" s="2">
        <f>H7</f>
        <v>36</v>
      </c>
      <c r="I9" s="3"/>
      <c r="J9" s="23"/>
      <c r="K9" s="23"/>
      <c r="L9" s="23"/>
      <c r="M9" s="23"/>
      <c r="N9" s="23"/>
      <c r="O9" s="23"/>
      <c r="P9" s="23"/>
    </row>
    <row r="10" spans="1:16" ht="12.75">
      <c r="A10" s="2" t="s">
        <v>14</v>
      </c>
      <c r="B10" s="6">
        <f>B9+(C9/60)+(D9/3600)</f>
        <v>18.738333333333333</v>
      </c>
      <c r="C10" s="2"/>
      <c r="D10" s="2"/>
      <c r="E10" s="3"/>
      <c r="F10" s="6">
        <f>F9+(G9/60)+(H9/3600)</f>
        <v>19.110000000000003</v>
      </c>
      <c r="G10" s="2"/>
      <c r="H10" s="2"/>
      <c r="I10" s="3"/>
      <c r="J10" s="39" t="s">
        <v>39</v>
      </c>
      <c r="K10" s="40"/>
      <c r="L10" s="40"/>
      <c r="M10" s="16">
        <v>12</v>
      </c>
      <c r="N10" s="16">
        <v>11</v>
      </c>
      <c r="O10" s="34" t="s">
        <v>41</v>
      </c>
      <c r="P10" s="23"/>
    </row>
    <row r="11" spans="1:16" ht="12.75">
      <c r="A11" s="2" t="s">
        <v>44</v>
      </c>
      <c r="B11" s="6">
        <f>9.86*B10</f>
        <v>184.75996666666666</v>
      </c>
      <c r="C11" s="2"/>
      <c r="D11" s="2"/>
      <c r="E11" s="3"/>
      <c r="F11" s="6">
        <f>9.86*F10</f>
        <v>188.42460000000003</v>
      </c>
      <c r="G11" s="2"/>
      <c r="H11" s="2"/>
      <c r="I11" s="3"/>
      <c r="J11" s="23"/>
      <c r="K11" s="23"/>
      <c r="L11" s="23"/>
      <c r="M11" s="23"/>
      <c r="N11" s="23"/>
      <c r="O11" s="23"/>
      <c r="P11" s="23"/>
    </row>
    <row r="12" spans="1:16" ht="12.75">
      <c r="A12" s="1" t="s">
        <v>15</v>
      </c>
      <c r="B12" s="1">
        <v>20</v>
      </c>
      <c r="C12" s="1">
        <v>53</v>
      </c>
      <c r="D12" s="11">
        <v>0</v>
      </c>
      <c r="E12" s="8">
        <f>B12+(C12/60)+(D12/3600)</f>
        <v>20.883333333333333</v>
      </c>
      <c r="F12" s="2">
        <f>B12</f>
        <v>20</v>
      </c>
      <c r="G12" s="2">
        <f>C12</f>
        <v>53</v>
      </c>
      <c r="H12" s="9">
        <f>D12</f>
        <v>0</v>
      </c>
      <c r="I12" s="8">
        <f>E12</f>
        <v>20.883333333333333</v>
      </c>
      <c r="J12" s="39" t="s">
        <v>40</v>
      </c>
      <c r="K12" s="40"/>
      <c r="L12" s="40"/>
      <c r="M12" s="16">
        <v>1</v>
      </c>
      <c r="N12" s="16">
        <v>4</v>
      </c>
      <c r="O12" s="34" t="s">
        <v>41</v>
      </c>
      <c r="P12" s="23"/>
    </row>
    <row r="13" spans="1:16" ht="12.75">
      <c r="A13" s="2" t="s">
        <v>16</v>
      </c>
      <c r="B13" s="2">
        <f>B4</f>
        <v>2</v>
      </c>
      <c r="C13" s="2">
        <f>C4</f>
        <v>29</v>
      </c>
      <c r="D13" s="2">
        <f>D4</f>
        <v>0</v>
      </c>
      <c r="E13" s="8">
        <f>B13+(C13/60)+(D13/3600)</f>
        <v>2.4833333333333334</v>
      </c>
      <c r="F13" s="2">
        <f>B4</f>
        <v>2</v>
      </c>
      <c r="G13" s="2">
        <f>C4</f>
        <v>29</v>
      </c>
      <c r="H13" s="2">
        <f>D4</f>
        <v>0</v>
      </c>
      <c r="I13" s="8">
        <f>E13</f>
        <v>2.4833333333333334</v>
      </c>
      <c r="J13" s="23"/>
      <c r="K13" s="23"/>
      <c r="L13" s="23"/>
      <c r="M13" s="23"/>
      <c r="O13" s="23"/>
      <c r="P13" s="23"/>
    </row>
    <row r="14" spans="1:16" ht="12.75">
      <c r="A14" s="2" t="s">
        <v>17</v>
      </c>
      <c r="B14" s="9">
        <f>INT(E14)</f>
        <v>18</v>
      </c>
      <c r="C14" s="2">
        <f>INT((E14-B14)*60)</f>
        <v>9</v>
      </c>
      <c r="D14" s="9">
        <f>((E14-B14)*3600-(C14*60))</f>
        <v>22.759966666689593</v>
      </c>
      <c r="E14" s="8">
        <f>IF((E12+B10+(B11/3600)+E13)&gt;24,(E12+B10+(B11/3600)+E13)-24,E12+B10+(B11/3600)+E13)</f>
        <v>18.15632221296297</v>
      </c>
      <c r="F14" s="9">
        <f>INT(I14)</f>
        <v>18</v>
      </c>
      <c r="G14" s="2">
        <f>INT((I14-F14)*60)</f>
        <v>31</v>
      </c>
      <c r="H14" s="9">
        <f>((I14-F14)*3600-(G14*60))</f>
        <v>44.42460000002711</v>
      </c>
      <c r="I14" s="8">
        <f>IF((I12+F10+(F11/3600)+I13)&gt;24,(I12+F10+(F11/3600)+I13)-24,(I12+F10+(F11/3600)+I13))</f>
        <v>18.52900683333334</v>
      </c>
      <c r="J14" s="23"/>
      <c r="K14" s="23"/>
      <c r="L14" s="23"/>
      <c r="M14" s="23"/>
      <c r="N14" s="17">
        <f>CEILING(E13*15,3)</f>
        <v>39</v>
      </c>
      <c r="O14" s="17">
        <f>(M10/30)+N10/12</f>
        <v>1.3166666666666667</v>
      </c>
      <c r="P14" s="23"/>
    </row>
    <row r="15" spans="1:16" ht="12.75">
      <c r="A15" s="45" t="s">
        <v>12</v>
      </c>
      <c r="B15" s="45"/>
      <c r="C15" s="45"/>
      <c r="D15" s="45"/>
      <c r="E15" s="45"/>
      <c r="F15" s="45"/>
      <c r="G15" s="45"/>
      <c r="H15" s="45"/>
      <c r="I15" s="45"/>
      <c r="J15" s="23"/>
      <c r="K15" s="23"/>
      <c r="L15" s="23"/>
      <c r="M15" s="23"/>
      <c r="N15" s="17">
        <f>IF(INT(N14/6)*6=N14,IF((E13*15)&gt;N14,N14+3,N14-3),N14)</f>
        <v>39</v>
      </c>
      <c r="O15" s="17">
        <f>INT(D2/4)*4</f>
        <v>84</v>
      </c>
      <c r="P15" s="23"/>
    </row>
    <row r="16" spans="1:16" ht="12.75">
      <c r="A16" s="1" t="s">
        <v>18</v>
      </c>
      <c r="B16" s="1">
        <v>2</v>
      </c>
      <c r="C16" s="1">
        <v>17</v>
      </c>
      <c r="D16" s="11">
        <v>25</v>
      </c>
      <c r="E16" s="8">
        <f>B16+(C16/60)+(D16/3600)</f>
        <v>2.290277777777778</v>
      </c>
      <c r="F16" s="2">
        <f>B16</f>
        <v>2</v>
      </c>
      <c r="G16" s="2">
        <f>C16</f>
        <v>17</v>
      </c>
      <c r="H16" s="9">
        <f>D16</f>
        <v>25</v>
      </c>
      <c r="I16" s="8">
        <f>E16</f>
        <v>2.290277777777778</v>
      </c>
      <c r="J16" s="23"/>
      <c r="K16" s="23"/>
      <c r="L16" s="23"/>
      <c r="M16" s="23"/>
      <c r="N16" s="23"/>
      <c r="O16" s="17">
        <f>(M12/30)+N12/12</f>
        <v>0.36666666666666664</v>
      </c>
      <c r="P16" s="23"/>
    </row>
    <row r="17" spans="1:16" ht="12.75">
      <c r="A17" s="2" t="s">
        <v>19</v>
      </c>
      <c r="B17" s="9">
        <f>INT(E17)</f>
        <v>15</v>
      </c>
      <c r="C17" s="2">
        <f>INT((E17-B17)*60)</f>
        <v>51</v>
      </c>
      <c r="D17" s="9">
        <f>((E17-B17)*3600-(C17*60))</f>
        <v>57.75996666668925</v>
      </c>
      <c r="E17" s="8">
        <f>IF((E14-E16)&lt;0,(E14-E16)+24,(E14-E16))</f>
        <v>15.866044435185191</v>
      </c>
      <c r="F17" s="9">
        <f>INT(I17)</f>
        <v>16</v>
      </c>
      <c r="G17" s="2">
        <f>INT((I17-F17)*60)</f>
        <v>14</v>
      </c>
      <c r="H17" s="9">
        <f>((I17-F17)*3600-(G17*60))</f>
        <v>19.424600000026885</v>
      </c>
      <c r="I17" s="8">
        <f>IF((I14-I16)&lt;0,(I14-I16)+24,I14-I16)</f>
        <v>16.238729055555563</v>
      </c>
      <c r="J17" s="23"/>
      <c r="K17" s="23"/>
      <c r="L17" s="23"/>
      <c r="M17" s="23"/>
      <c r="N17" s="23"/>
      <c r="O17" s="17">
        <f>IF(D2-O15=0,29,28)</f>
        <v>28</v>
      </c>
      <c r="P17" s="23"/>
    </row>
    <row r="18" spans="1:16" ht="12.75">
      <c r="A18" s="2" t="s">
        <v>24</v>
      </c>
      <c r="B18" s="9">
        <f>INT(E18)</f>
        <v>237</v>
      </c>
      <c r="C18" s="2">
        <f>INT((E18-B18)*60)</f>
        <v>59</v>
      </c>
      <c r="D18" s="9">
        <f>((E18-B18)*3600-(C18*60))</f>
        <v>26.39950000035242</v>
      </c>
      <c r="E18" s="8">
        <f>IF((E17*15)&gt;360,(E17*15)-360,E17*15)</f>
        <v>237.99066652777788</v>
      </c>
      <c r="F18" s="9">
        <f>INT(I18)</f>
        <v>243</v>
      </c>
      <c r="G18" s="2">
        <f>INT((I18-F18)*60)</f>
        <v>34</v>
      </c>
      <c r="H18" s="9">
        <f>((I18-F18)*3600-(G18*60))</f>
        <v>51.36900000044079</v>
      </c>
      <c r="I18" s="8">
        <f>IF((I17*15)&gt;360,(I17*15)-360,I17*15)</f>
        <v>243.58093583333346</v>
      </c>
      <c r="J18" s="23"/>
      <c r="K18" s="23"/>
      <c r="L18" s="23"/>
      <c r="M18" s="23"/>
      <c r="N18" s="23"/>
      <c r="O18" s="17">
        <f>IF(C2=4,30,IF(C2=6,30,IF(C2=6,30,IF(C2=11,30,IF(C2=2,O17,31)))))</f>
        <v>31</v>
      </c>
      <c r="P18" s="23"/>
    </row>
    <row r="19" spans="1:16" ht="12.75">
      <c r="A19" s="46" t="s">
        <v>20</v>
      </c>
      <c r="B19" s="46"/>
      <c r="C19" s="46"/>
      <c r="D19" s="46"/>
      <c r="E19" s="46"/>
      <c r="F19" s="46"/>
      <c r="G19" s="46"/>
      <c r="H19" s="46"/>
      <c r="I19" s="46"/>
      <c r="J19" s="23"/>
      <c r="K19" s="23"/>
      <c r="L19" s="23"/>
      <c r="M19" s="23"/>
      <c r="N19" s="23"/>
      <c r="O19" s="23"/>
      <c r="P19" s="23"/>
    </row>
    <row r="20" spans="1:16" ht="12.75">
      <c r="A20" s="1" t="s">
        <v>25</v>
      </c>
      <c r="B20" s="1">
        <v>89</v>
      </c>
      <c r="C20" s="1">
        <v>11</v>
      </c>
      <c r="D20" s="1">
        <v>57</v>
      </c>
      <c r="E20" s="8">
        <f>(B20+(C20/60)+(D20/3600))</f>
        <v>89.19916666666667</v>
      </c>
      <c r="F20" s="2">
        <f>B20</f>
        <v>89</v>
      </c>
      <c r="G20" s="2">
        <f>C20</f>
        <v>11</v>
      </c>
      <c r="H20" s="2">
        <f>D20</f>
        <v>57</v>
      </c>
      <c r="I20" s="8">
        <f>E20</f>
        <v>89.19916666666667</v>
      </c>
      <c r="J20" s="23"/>
      <c r="K20" s="23"/>
      <c r="L20" s="23"/>
      <c r="M20" s="23"/>
      <c r="N20" s="23"/>
      <c r="O20" s="23"/>
      <c r="P20" s="23"/>
    </row>
    <row r="21" spans="1:16" ht="12.75">
      <c r="A21" s="2" t="s">
        <v>21</v>
      </c>
      <c r="B21" s="2">
        <f>E21*3600</f>
        <v>2882.9999999999873</v>
      </c>
      <c r="C21" s="2"/>
      <c r="D21" s="2"/>
      <c r="E21" s="8">
        <f>90-E20</f>
        <v>0.8008333333333297</v>
      </c>
      <c r="F21" s="2">
        <f>I21*3600</f>
        <v>2882.9999999999873</v>
      </c>
      <c r="G21" s="2"/>
      <c r="H21" s="2"/>
      <c r="I21" s="8">
        <f>E21</f>
        <v>0.8008333333333297</v>
      </c>
      <c r="J21" s="23"/>
      <c r="K21" s="43" t="s">
        <v>36</v>
      </c>
      <c r="L21" s="43"/>
      <c r="M21" s="19">
        <v>1.5</v>
      </c>
      <c r="N21" s="33" t="s">
        <v>35</v>
      </c>
      <c r="O21" s="23"/>
      <c r="P21" s="23"/>
    </row>
    <row r="22" spans="1:16" ht="12.75">
      <c r="A22" s="14" t="s">
        <v>26</v>
      </c>
      <c r="B22" s="14">
        <f>B3</f>
        <v>54</v>
      </c>
      <c r="C22" s="14">
        <f>C3</f>
        <v>42</v>
      </c>
      <c r="D22" s="14">
        <f>D3</f>
        <v>42</v>
      </c>
      <c r="E22" s="8">
        <f>RADIANS((B22+(C22/60)+(D22/3600)))</f>
        <v>0.9548987225869643</v>
      </c>
      <c r="F22" s="2">
        <f>B22</f>
        <v>54</v>
      </c>
      <c r="G22" s="2">
        <f>C22</f>
        <v>42</v>
      </c>
      <c r="H22" s="2">
        <f>D22</f>
        <v>42</v>
      </c>
      <c r="I22" s="8">
        <f>E22</f>
        <v>0.9548987225869643</v>
      </c>
      <c r="J22" s="23"/>
      <c r="K22" s="23"/>
      <c r="L22" s="23"/>
      <c r="M22" s="23"/>
      <c r="N22" s="23"/>
      <c r="O22" s="23"/>
      <c r="P22" s="23"/>
    </row>
    <row r="23" spans="1:16" ht="12.75">
      <c r="A23" s="2" t="s">
        <v>22</v>
      </c>
      <c r="B23" s="9">
        <f>-(B21*SIN(RADIANS(E18)))/COS((E22+((RADIANS(E21))*COS(RADIANS(E18)))))</f>
        <v>4188.072275083538</v>
      </c>
      <c r="C23" s="2"/>
      <c r="D23" s="2"/>
      <c r="E23" s="8">
        <f>B23/3600</f>
        <v>1.1633534097454274</v>
      </c>
      <c r="F23" s="9">
        <f>-(F21*SIN(RADIANS(I18)))/COS((I22+((RADIANS(I21))*COS(RADIANS(I18)))))</f>
        <v>4430.513580792014</v>
      </c>
      <c r="G23" s="2"/>
      <c r="H23" s="2"/>
      <c r="I23" s="8">
        <f>F23/3600</f>
        <v>1.2306982168866707</v>
      </c>
      <c r="J23" s="23"/>
      <c r="K23" s="43" t="s">
        <v>29</v>
      </c>
      <c r="L23" s="44"/>
      <c r="M23" s="20">
        <f>ABS((I27-E27)*60)</f>
        <v>1.0406884284736861</v>
      </c>
      <c r="N23" s="33" t="s">
        <v>35</v>
      </c>
      <c r="O23" s="23"/>
      <c r="P23" s="23"/>
    </row>
    <row r="24" spans="1:16" ht="12.75">
      <c r="A24" s="2" t="s">
        <v>23</v>
      </c>
      <c r="B24" s="2">
        <f>INT(E23)</f>
        <v>1</v>
      </c>
      <c r="C24" s="2">
        <f>INT((E23-B24)*60)</f>
        <v>9</v>
      </c>
      <c r="D24" s="9">
        <f>((E23-B24)*3600-(C24*60))</f>
        <v>48.072275083538784</v>
      </c>
      <c r="E24" s="7"/>
      <c r="F24" s="9">
        <f>INT(I23)</f>
        <v>1</v>
      </c>
      <c r="G24" s="2">
        <f>INT((I23-F24)*60)</f>
        <v>13</v>
      </c>
      <c r="H24" s="9">
        <f>((I23-F24)*3600-(G24*60))</f>
        <v>50.51358079201452</v>
      </c>
      <c r="I24" s="7"/>
      <c r="J24" s="23"/>
      <c r="K24" s="23"/>
      <c r="L24" s="23"/>
      <c r="M24" s="23"/>
      <c r="N24" s="23"/>
      <c r="O24" s="23"/>
      <c r="P24" s="23"/>
    </row>
    <row r="25" spans="1:16" ht="12.75">
      <c r="A25" s="45" t="s">
        <v>27</v>
      </c>
      <c r="B25" s="45"/>
      <c r="C25" s="45"/>
      <c r="D25" s="45"/>
      <c r="E25" s="45"/>
      <c r="F25" s="45"/>
      <c r="G25" s="45"/>
      <c r="H25" s="45"/>
      <c r="I25" s="45"/>
      <c r="J25" s="23"/>
      <c r="K25" s="47" t="str">
        <f>IF(M23&lt;M21,"ВСЕ В ДОПУСКЕ!!!","ЛАЖА,ЛАЖА,ЛАЖА...")</f>
        <v>ВСЕ В ДОПУСКЕ!!!</v>
      </c>
      <c r="L25" s="47"/>
      <c r="M25" s="47"/>
      <c r="N25" s="47"/>
      <c r="O25" s="23"/>
      <c r="P25" s="23"/>
    </row>
    <row r="26" spans="1:16" ht="12.75">
      <c r="A26" s="1" t="s">
        <v>28</v>
      </c>
      <c r="B26" s="1">
        <v>162</v>
      </c>
      <c r="C26" s="1">
        <v>9</v>
      </c>
      <c r="D26" s="1">
        <v>36</v>
      </c>
      <c r="E26" s="8">
        <f>B26+(C26/60)+(D26/3600)</f>
        <v>162.16</v>
      </c>
      <c r="F26" s="1">
        <v>162</v>
      </c>
      <c r="G26" s="1">
        <v>6</v>
      </c>
      <c r="H26" s="1">
        <v>36</v>
      </c>
      <c r="I26" s="8">
        <f>F26+(G26/60)+(H26/3600)</f>
        <v>162.10999999999999</v>
      </c>
      <c r="J26" s="23"/>
      <c r="K26" s="47"/>
      <c r="L26" s="47"/>
      <c r="M26" s="47"/>
      <c r="N26" s="47"/>
      <c r="O26" s="23"/>
      <c r="P26" s="23"/>
    </row>
    <row r="27" spans="1:16" ht="12.75">
      <c r="A27" s="2" t="s">
        <v>30</v>
      </c>
      <c r="B27" s="9">
        <f>INT(E27)</f>
        <v>163</v>
      </c>
      <c r="C27" s="2">
        <f>INT((E27-B27)*60)</f>
        <v>19</v>
      </c>
      <c r="D27" s="9">
        <f>((E27-B27)*3600-(C27*60))</f>
        <v>24.072275083572094</v>
      </c>
      <c r="E27" s="8">
        <f>IF((E26+E23)&gt;360,(E26+E23)-360,E26+E23)</f>
        <v>163.32335340974544</v>
      </c>
      <c r="F27" s="9">
        <f>INT(I27)</f>
        <v>163</v>
      </c>
      <c r="G27" s="2">
        <f>INT((I27-F27)*60)</f>
        <v>20</v>
      </c>
      <c r="H27" s="9">
        <f>((I27-F27)*3600-(G27*60))</f>
        <v>26.513580791993263</v>
      </c>
      <c r="I27" s="8">
        <f>IF((I26+I23)&gt;360,(I26+I23)-360,I26+I23)</f>
        <v>163.34069821688666</v>
      </c>
      <c r="J27" s="23"/>
      <c r="K27" s="23"/>
      <c r="L27" s="23"/>
      <c r="M27" s="23"/>
      <c r="N27" s="23"/>
      <c r="O27" s="23"/>
      <c r="P27" s="23"/>
    </row>
    <row r="28" spans="1:16" ht="12.75">
      <c r="A28" s="14" t="s">
        <v>31</v>
      </c>
      <c r="B28" s="15">
        <f>INT(I28)</f>
        <v>163</v>
      </c>
      <c r="C28" s="14">
        <f>INT((I28-B28)*60)</f>
        <v>19</v>
      </c>
      <c r="D28" s="15">
        <f>((I28-B28)*3600-(C28*60))</f>
        <v>55.29292793778268</v>
      </c>
      <c r="E28" s="3"/>
      <c r="F28" s="2"/>
      <c r="G28" s="2"/>
      <c r="H28" s="2"/>
      <c r="I28" s="8">
        <f>(E27+I27)/2</f>
        <v>163.33202581331605</v>
      </c>
      <c r="J28" s="23"/>
      <c r="K28" s="37"/>
      <c r="L28" s="38"/>
      <c r="M28" s="38"/>
      <c r="N28" s="38"/>
      <c r="O28" s="23"/>
      <c r="P28" s="23"/>
    </row>
    <row r="29" spans="1:16" ht="12.75">
      <c r="A29" s="14" t="s">
        <v>32</v>
      </c>
      <c r="B29" s="14">
        <f>N15</f>
        <v>39</v>
      </c>
      <c r="C29" s="2"/>
      <c r="D29" s="2"/>
      <c r="E29" s="3"/>
      <c r="F29" s="2"/>
      <c r="G29" s="2"/>
      <c r="H29" s="2"/>
      <c r="I29" s="8">
        <f>I28-((E13*15)-B29)*(SIN(E22))</f>
        <v>164.76047247900848</v>
      </c>
      <c r="J29" s="23"/>
      <c r="K29" s="23"/>
      <c r="L29" s="23"/>
      <c r="M29" s="23"/>
      <c r="N29" s="23"/>
      <c r="O29" s="23"/>
      <c r="P29" s="23"/>
    </row>
    <row r="30" spans="1:16" ht="12.75">
      <c r="A30" s="10" t="s">
        <v>33</v>
      </c>
      <c r="B30" s="12">
        <f>IF(I29&gt;360,INT(I29-360),IF(I29&lt;0,INT(I29+360),INT(I29)))</f>
        <v>164</v>
      </c>
      <c r="C30" s="13">
        <f>INT((I29-B30)*60)</f>
        <v>45</v>
      </c>
      <c r="D30" s="12">
        <f>((I29-B30)*3600-(C30*60))</f>
        <v>37.70092443054409</v>
      </c>
      <c r="E30" s="3"/>
      <c r="F30" s="2"/>
      <c r="G30" s="2"/>
      <c r="H30" s="2"/>
      <c r="I30" s="8"/>
      <c r="J30" s="23"/>
      <c r="K30" s="23"/>
      <c r="L30" s="23"/>
      <c r="M30" s="23"/>
      <c r="N30" s="23"/>
      <c r="O30" s="23"/>
      <c r="P30" s="23"/>
    </row>
    <row r="31" spans="1:16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5">
      <c r="A32" s="35" t="s">
        <v>37</v>
      </c>
      <c r="B32" s="42"/>
      <c r="C32" s="42"/>
      <c r="D32" s="23"/>
      <c r="E32" s="23"/>
      <c r="F32" s="23"/>
      <c r="G32" s="35" t="s">
        <v>45</v>
      </c>
      <c r="H32" s="41">
        <f>IF(M21&gt;M23,5,"проверь ввод данных!")</f>
        <v>5</v>
      </c>
      <c r="I32" s="41"/>
      <c r="J32" s="41"/>
      <c r="K32" s="41"/>
      <c r="L32" s="23"/>
      <c r="M32" s="23"/>
      <c r="N32" s="23"/>
      <c r="O32" s="23"/>
      <c r="P32" s="23"/>
    </row>
    <row r="33" spans="2:16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5">
    <mergeCell ref="A1:I1"/>
    <mergeCell ref="B5:E5"/>
    <mergeCell ref="F5:I5"/>
    <mergeCell ref="A6:I6"/>
    <mergeCell ref="E2:F2"/>
    <mergeCell ref="J10:L10"/>
    <mergeCell ref="J12:L12"/>
    <mergeCell ref="H32:K32"/>
    <mergeCell ref="B32:C32"/>
    <mergeCell ref="K23:L23"/>
    <mergeCell ref="A15:I15"/>
    <mergeCell ref="A19:I19"/>
    <mergeCell ref="A25:I25"/>
    <mergeCell ref="K21:L21"/>
    <mergeCell ref="K25:N2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</dc:creator>
  <cp:keywords/>
  <dc:description/>
  <cp:lastModifiedBy>Строганов Антон</cp:lastModifiedBy>
  <dcterms:created xsi:type="dcterms:W3CDTF">2007-01-31T17:14:44Z</dcterms:created>
  <dcterms:modified xsi:type="dcterms:W3CDTF">2007-04-06T09:57:13Z</dcterms:modified>
  <cp:category/>
  <cp:version/>
  <cp:contentType/>
  <cp:contentStatus/>
</cp:coreProperties>
</file>